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39" yWindow="353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<sst xmlns="http://schemas.openxmlformats.org/spreadsheetml/2006/main" count="164" uniqueCount="113">
  <si>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</si>
  <si>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</si>
  <si>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</si>
  <si>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</si>
  <si>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</si>
  <si>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</si>
  <si>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</si>
  <si>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</si>
  <si>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</si>
  <si>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</si>
  <si>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</si>
  <si>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</si>
  <si>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</si>
  <si>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</si>
  <si>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</si>
  <si>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</si>
  <si>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</si>
  <si>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</si>
  <si>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</si>
  <si>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</si>
  <si>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</si>
  <si>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</si>
  <si>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</si>
  <si>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</si>
  <si>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</si>
  <si>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</si>
  <si>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</si>
  <si>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</si>
  <si>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</si>
  <si>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</si>
  <si>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</si>
  <si>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</si>
  <si>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</si>
  <si>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</si>
  <si>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</si>
  <si>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</si>
  <si>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</si>
  <si>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</si>
  <si>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</si>
  <si>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</si>
  <si>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</si>
  <si>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</si>
  <si>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</si>
  <si>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</si>
  <si>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</si>
  <si>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</si>
  <si>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</si>
  <si>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</si>
  <si>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</si>
  <si>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</si>
  <si>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</si>
  <si>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</si>
  <si>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</si>
  <si>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</si>
  <si>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</si>
  <si>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</si>
  <si>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</si>
  <si>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</si>
  <si>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</si>
  <si>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</si>
  <si>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</si>
  <si>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</si>
  <si>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</si>
  <si>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</si>
  <si>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</si>
  <si>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</si>
  <si>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</si>
  <si>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</si>
  <si>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</si>
  <si>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</si>
  <si>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</si>
  <si>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</si>
  <si>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</si>
  <si>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</si>
  <si>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</si>
  <si>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</si>
  <si>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</si>
  <si>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</si>
  <si>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</si>
  <si>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</si>
  <si>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</si>
  <si>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</si>
  <si>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</si>
  <si>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</si>
  <si>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</si>
  <si>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</si>
  <si>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</si>
  <si>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</si>
  <si>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</si>
  <si>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</si>
  <si>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</si>
  <si>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</si>
  <si>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</si>
  <si>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</si>
  <si>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</si>
  <si>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</si>
  <si>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</si>
  <si>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</si>
  <si>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</si>
  <si>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</si>
  <si>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</si>
  <si>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</si>
  <si>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</si>
  <si>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</si>
  <si>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</si>
  <si>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</si>
  <si>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2 місяці, тис.грн.</t>
  </si>
  <si>
    <t>План на рік, тис.грн.</t>
  </si>
  <si>
    <t>Відсоток виконання  плану 2 місяців</t>
  </si>
  <si>
    <t>Відсоток виконання  плану на рік</t>
  </si>
  <si>
    <t>Відхилення від  плану 2 місяців, тис.грн.</t>
  </si>
  <si>
    <t>Відхилення від плану на рік тис.грн.</t>
  </si>
  <si>
    <t>Аналіз використання коштів загального фонду міського бюджету станом на 23.02.2018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</si>
</sst>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4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19356.4</c:v>
                </c:pt>
                <c:pt idx="1">
                  <c:v>18796.309999999994</c:v>
                </c:pt>
                <c:pt idx="2">
                  <c:v>229</c:v>
                </c:pt>
                <c:pt idx="3">
                  <c:v>331.0900000000074</c:v>
                </c:pt>
              </c:numCache>
            </c:numRef>
          </c:val>
          <c:shape val="box"/>
        </c:ser>
        <c:shape val="box"/>
        <c:axId val="29026189"/>
        <c:axId val="59909110"/>
      </c:bar3D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52816.3</c:v>
                </c:pt>
                <c:pt idx="4">
                  <c:v>88172.4</c:v>
                </c:pt>
                <c:pt idx="5">
                  <c:v>12738</c:v>
                </c:pt>
                <c:pt idx="6">
                  <c:v>23826.39999999998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74924.4</c:v>
                </c:pt>
                <c:pt idx="1">
                  <c:v>28290.5</c:v>
                </c:pt>
                <c:pt idx="2">
                  <c:v>67884.2</c:v>
                </c:pt>
                <c:pt idx="3">
                  <c:v>2645.2000000000003</c:v>
                </c:pt>
                <c:pt idx="4">
                  <c:v>2701.2999999999997</c:v>
                </c:pt>
                <c:pt idx="5">
                  <c:v>1632.3</c:v>
                </c:pt>
                <c:pt idx="6">
                  <c:v>61.39999999999668</c:v>
                </c:pt>
              </c:numCache>
            </c:numRef>
          </c:val>
          <c:shape val="box"/>
        </c:ser>
        <c:shape val="box"/>
        <c:axId val="2311079"/>
        <c:axId val="20799712"/>
      </c:bar3D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42536.200000000004</c:v>
                </c:pt>
                <c:pt idx="1">
                  <c:v>31742.000000000004</c:v>
                </c:pt>
                <c:pt idx="2">
                  <c:v>42536.200000000004</c:v>
                </c:pt>
              </c:numCache>
            </c:numRef>
          </c:val>
          <c:shape val="box"/>
        </c:ser>
        <c:shape val="box"/>
        <c:axId val="52979681"/>
        <c:axId val="7055082"/>
      </c:bar3D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2300.3999999999996</c:v>
                </c:pt>
                <c:pt idx="1">
                  <c:v>1302</c:v>
                </c:pt>
                <c:pt idx="2">
                  <c:v>165.89999999999998</c:v>
                </c:pt>
                <c:pt idx="3">
                  <c:v>71.5</c:v>
                </c:pt>
                <c:pt idx="4">
                  <c:v>10.2</c:v>
                </c:pt>
                <c:pt idx="5">
                  <c:v>750.7999999999996</c:v>
                </c:pt>
              </c:numCache>
            </c:numRef>
          </c:val>
          <c:shape val="box"/>
        </c:ser>
        <c:shape val="box"/>
        <c:axId val="63495739"/>
        <c:axId val="34590740"/>
      </c:bar3D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3035.2999999999993</c:v>
                </c:pt>
                <c:pt idx="1">
                  <c:v>2172.1</c:v>
                </c:pt>
                <c:pt idx="3">
                  <c:v>18.2</c:v>
                </c:pt>
                <c:pt idx="4">
                  <c:v>25.400000000000002</c:v>
                </c:pt>
                <c:pt idx="5">
                  <c:v>220</c:v>
                </c:pt>
                <c:pt idx="6">
                  <c:v>599.5999999999993</c:v>
                </c:pt>
              </c:numCache>
            </c:numRef>
          </c:val>
          <c:shape val="box"/>
        </c:ser>
        <c:shape val="box"/>
        <c:axId val="42881205"/>
        <c:axId val="50386526"/>
      </c:bar3D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86526"/>
        <c:crosses val="autoZero"/>
        <c:auto val="1"/>
        <c:lblOffset val="100"/>
        <c:tickLblSkip val="2"/>
        <c:noMultiLvlLbl val="0"/>
      </c:catAx>
      <c:valAx>
        <c:axId val="50386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398.90000000000003</c:v>
                </c:pt>
                <c:pt idx="1">
                  <c:v>321.50000000000006</c:v>
                </c:pt>
                <c:pt idx="3">
                  <c:v>67.1</c:v>
                </c:pt>
                <c:pt idx="5">
                  <c:v>10.299999999999983</c:v>
                </c:pt>
              </c:numCache>
            </c:numRef>
          </c:val>
          <c:shape val="box"/>
        </c:ser>
        <c:shape val="box"/>
        <c:axId val="50825551"/>
        <c:axId val="54776776"/>
      </c:bar3D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3344.7</c:v>
                </c:pt>
              </c:numCache>
            </c:numRef>
          </c:val>
          <c:shape val="box"/>
        </c:ser>
        <c:shape val="box"/>
        <c:axId val="23228937"/>
        <c:axId val="7733842"/>
      </c:bar3D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74924.4</c:v>
                </c:pt>
                <c:pt idx="1">
                  <c:v>42536.200000000004</c:v>
                </c:pt>
                <c:pt idx="2">
                  <c:v>2300.3999999999996</c:v>
                </c:pt>
                <c:pt idx="3">
                  <c:v>3035.2999999999993</c:v>
                </c:pt>
                <c:pt idx="4">
                  <c:v>398.90000000000003</c:v>
                </c:pt>
                <c:pt idx="5">
                  <c:v>19356.4</c:v>
                </c:pt>
                <c:pt idx="6">
                  <c:v>3344.7</c:v>
                </c:pt>
              </c:numCache>
            </c:numRef>
          </c:val>
          <c:shape val="box"/>
        </c:ser>
        <c:shape val="box"/>
        <c:axId val="2495715"/>
        <c:axId val="22461436"/>
      </c:bar3D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34"/>
          <c:w val="0.84125"/>
          <c:h val="0.4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13.9</c:v>
                </c:pt>
                <c:pt idx="5">
                  <c:v>1008564.5999999999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91777.20999999999</c:v>
                </c:pt>
                <c:pt idx="1">
                  <c:v>4882.4</c:v>
                </c:pt>
                <c:pt idx="2">
                  <c:v>2669.1</c:v>
                </c:pt>
                <c:pt idx="3">
                  <c:v>2399.3999999999996</c:v>
                </c:pt>
                <c:pt idx="4">
                  <c:v>0</c:v>
                </c:pt>
                <c:pt idx="5">
                  <c:v>62028.090000000026</c:v>
                </c:pt>
              </c:numCache>
            </c:numRef>
          </c:val>
          <c:shape val="box"/>
        </c:ser>
        <c:shape val="box"/>
        <c:axId val="826333"/>
        <c:axId val="7436998"/>
      </c:bar3D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106</v>
      </c>
      <c r="C3" s="172" t="s">
        <v>107</v>
      </c>
      <c r="D3" s="172" t="s">
        <v>22</v>
      </c>
      <c r="E3" s="172" t="s">
        <v>21</v>
      </c>
      <c r="F3" s="172" t="s">
        <v>108</v>
      </c>
      <c r="G3" s="172" t="s">
        <v>109</v>
      </c>
      <c r="H3" s="172" t="s">
        <v>110</v>
      </c>
      <c r="I3" s="172" t="s">
        <v>111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9" ht="39" customHeight="1" thickBot="1">
      <c r="A5" s="177"/>
      <c r="B5" s="180"/>
      <c r="C5" s="174"/>
      <c r="D5" s="174"/>
      <c r="E5" s="174"/>
      <c r="F5" s="174"/>
      <c r="G5" s="174"/>
      <c r="H5" s="174"/>
      <c r="I5" s="174"/>
    </row>
    <row r="6" spans="1:11" ht="18.75" thickBot="1">
      <c r="A6" s="20" t="s">
        <v>26</v>
      </c>
      <c r="B6" s="38">
        <v>137363.9</v>
      </c>
      <c r="C6" s="39">
        <v>826775</v>
      </c>
      <c r="D6" s="40">
        <f>18784.8+19.1+1564+604.6+17261.2+400.5+10875.2+151.3+0.7+306.3+593.7+110+1396.3+9132.6+10728.8+272.5+616.2+58.8+521.9+257.8+1268.1</f>
        <v>74924.4</v>
      </c>
      <c r="E6" s="3">
        <f>D6/D152*100</f>
        <v>45.75362642757953</v>
      </c>
      <c r="F6" s="3">
        <f>D6/B6*100</f>
        <v>54.544461827306876</v>
      </c>
      <c r="G6" s="3">
        <f aca="true" t="shared" si="0" ref="G6:G43">D6/C6*100</f>
        <v>9.062247890901393</v>
      </c>
      <c r="H6" s="40">
        <f>B6-D6</f>
        <v>62439.5</v>
      </c>
      <c r="I6" s="40">
        <f aca="true" t="shared" si="1" ref="I6:I43">C6-D6</f>
        <v>751850.6</v>
      </c>
      <c r="J6" s="159"/>
      <c r="K6" s="156"/>
    </row>
    <row r="7" spans="1:12" s="94" customFormat="1" ht="18">
      <c r="A7" s="142" t="s">
        <v>81</v>
      </c>
      <c r="B7" s="143">
        <f>19179.6+19179.6</f>
        <v>38359.2</v>
      </c>
      <c r="C7" s="144">
        <v>57538.8</v>
      </c>
      <c r="D7" s="145">
        <f>8282.7+10875.2+9132.6</f>
        <v>28290.5</v>
      </c>
      <c r="E7" s="146">
        <f>D7/D6*100</f>
        <v>37.75872746395033</v>
      </c>
      <c r="F7" s="146">
        <f>D7/B7*100</f>
        <v>73.75153809255667</v>
      </c>
      <c r="G7" s="146">
        <f>D7/C7*100</f>
        <v>49.16769206170445</v>
      </c>
      <c r="H7" s="145">
        <f>B7-D7</f>
        <v>10068.699999999997</v>
      </c>
      <c r="I7" s="145">
        <f t="shared" si="1"/>
        <v>29248.300000000003</v>
      </c>
      <c r="J7" s="160"/>
      <c r="K7" s="156"/>
      <c r="L7" s="141"/>
    </row>
    <row r="8" spans="1:12" s="93" customFormat="1" ht="18">
      <c r="A8" s="103" t="s">
        <v>3</v>
      </c>
      <c r="B8" s="128">
        <v>100870.5</v>
      </c>
      <c r="C8" s="129">
        <v>649221.9</v>
      </c>
      <c r="D8" s="105">
        <f>18784.8+17058.5+10875.2+340.5+963.8+9132.6+10728.8</f>
        <v>67884.2</v>
      </c>
      <c r="E8" s="107">
        <f>D8/D6*100</f>
        <v>90.60359509051791</v>
      </c>
      <c r="F8" s="107">
        <f>D8/B8*100</f>
        <v>67.29836770909235</v>
      </c>
      <c r="G8" s="107">
        <f t="shared" si="0"/>
        <v>10.456240000529863</v>
      </c>
      <c r="H8" s="105">
        <f>B8-D8</f>
        <v>32986.3</v>
      </c>
      <c r="I8" s="105">
        <f t="shared" si="1"/>
        <v>581337.7000000001</v>
      </c>
      <c r="J8" s="159"/>
      <c r="K8" s="156"/>
      <c r="L8" s="141"/>
    </row>
    <row r="9" spans="1:12" s="93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J9" s="159"/>
      <c r="K9" s="156"/>
      <c r="L9" s="141"/>
    </row>
    <row r="10" spans="1:12" s="93" customFormat="1" ht="18">
      <c r="A10" s="103" t="s">
        <v>1</v>
      </c>
      <c r="B10" s="128">
        <v>8970.9</v>
      </c>
      <c r="C10" s="129">
        <v>52816.3</v>
      </c>
      <c r="D10" s="147">
        <f>48.9+218.8+88.4+85.8+204.3+521.3+87.9+293.2+244.8+269.9+23.7+37.8+76.9+443.5</f>
        <v>2645.2000000000003</v>
      </c>
      <c r="E10" s="107">
        <f>D10/D6*100</f>
        <v>3.530492069339228</v>
      </c>
      <c r="F10" s="107">
        <f aca="true" t="shared" si="3" ref="F10:F41">D10/B10*100</f>
        <v>29.4864506348304</v>
      </c>
      <c r="G10" s="107">
        <f t="shared" si="0"/>
        <v>5.008302361202886</v>
      </c>
      <c r="H10" s="105">
        <f t="shared" si="2"/>
        <v>6325.699999999999</v>
      </c>
      <c r="I10" s="105">
        <f t="shared" si="1"/>
        <v>50171.100000000006</v>
      </c>
      <c r="J10" s="159"/>
      <c r="K10" s="156"/>
      <c r="L10" s="141"/>
    </row>
    <row r="11" spans="1:12" s="93" customFormat="1" ht="18">
      <c r="A11" s="103" t="s">
        <v>0</v>
      </c>
      <c r="B11" s="128">
        <v>24343.5</v>
      </c>
      <c r="C11" s="129">
        <v>88172.4</v>
      </c>
      <c r="D11" s="148">
        <f>19.1+640.6+125.5+108.2+60+64.1+0.7+97.8+43.1+15+139.1+27.1+31.6+324.4+180.4+824.6</f>
        <v>2701.2999999999997</v>
      </c>
      <c r="E11" s="107">
        <f>D11/D6*100</f>
        <v>3.605367543817501</v>
      </c>
      <c r="F11" s="107">
        <f t="shared" si="3"/>
        <v>11.096596627436481</v>
      </c>
      <c r="G11" s="107">
        <f t="shared" si="0"/>
        <v>3.0636571081200015</v>
      </c>
      <c r="H11" s="105">
        <f t="shared" si="2"/>
        <v>21642.2</v>
      </c>
      <c r="I11" s="105">
        <f t="shared" si="1"/>
        <v>85471.09999999999</v>
      </c>
      <c r="J11" s="159"/>
      <c r="K11" s="156"/>
      <c r="L11" s="141"/>
    </row>
    <row r="12" spans="1:12" s="93" customFormat="1" ht="18">
      <c r="A12" s="103" t="s">
        <v>14</v>
      </c>
      <c r="B12" s="128">
        <v>2281.2</v>
      </c>
      <c r="C12" s="129">
        <v>12738</v>
      </c>
      <c r="D12" s="105">
        <f>874.5+251.8+346.3+159.7</f>
        <v>1632.3</v>
      </c>
      <c r="E12" s="107">
        <f>D12/D6*100</f>
        <v>2.1785960247929914</v>
      </c>
      <c r="F12" s="107">
        <f t="shared" si="3"/>
        <v>71.55444502893215</v>
      </c>
      <c r="G12" s="107">
        <f t="shared" si="0"/>
        <v>12.814413565708902</v>
      </c>
      <c r="H12" s="105">
        <f>B12-D12</f>
        <v>648.8999999999999</v>
      </c>
      <c r="I12" s="105">
        <f t="shared" si="1"/>
        <v>11105.7</v>
      </c>
      <c r="J12" s="159"/>
      <c r="K12" s="156"/>
      <c r="L12" s="141"/>
    </row>
    <row r="13" spans="1:12" s="93" customFormat="1" ht="18.75" thickBot="1">
      <c r="A13" s="103" t="s">
        <v>27</v>
      </c>
      <c r="B13" s="129">
        <f>B6-B8-B9-B10-B11-B12</f>
        <v>897.7999999999929</v>
      </c>
      <c r="C13" s="129">
        <f>C6-C8-C9-C10-C11-C12</f>
        <v>23826.39999999998</v>
      </c>
      <c r="D13" s="129">
        <f>D6-D8-D9-D10-D11-D12</f>
        <v>61.39999999999668</v>
      </c>
      <c r="E13" s="107">
        <f>D13/D6*100</f>
        <v>0.08194927153236686</v>
      </c>
      <c r="F13" s="107">
        <f t="shared" si="3"/>
        <v>6.838939630206857</v>
      </c>
      <c r="G13" s="107">
        <f t="shared" si="0"/>
        <v>0.25769734412247225</v>
      </c>
      <c r="H13" s="105">
        <f t="shared" si="2"/>
        <v>836.3999999999962</v>
      </c>
      <c r="I13" s="105">
        <f t="shared" si="1"/>
        <v>23764.99999999998</v>
      </c>
      <c r="J13" s="159"/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0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0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0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0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v>424151.5</v>
      </c>
      <c r="D18" s="40">
        <f>10253+9229.9+6482.3+67.5+83+34.1+81.4+107.8+99.9+131.7+68+568.1+670.4+12.4+333.8+10669.5+2627.5+1015+0.9</f>
        <v>42536.200000000004</v>
      </c>
      <c r="E18" s="3">
        <f>D18/D152*100</f>
        <v>25.975321850409326</v>
      </c>
      <c r="F18" s="3">
        <f>D18/B18*100</f>
        <v>63.596308273790584</v>
      </c>
      <c r="G18" s="3">
        <f t="shared" si="0"/>
        <v>10.02853933087588</v>
      </c>
      <c r="H18" s="40">
        <f>B18-D18</f>
        <v>24348.499999999993</v>
      </c>
      <c r="I18" s="40">
        <f t="shared" si="1"/>
        <v>381615.3</v>
      </c>
      <c r="J18" s="159"/>
      <c r="K18" s="156"/>
    </row>
    <row r="19" spans="1:13" s="94" customFormat="1" ht="18">
      <c r="A19" s="142" t="s">
        <v>82</v>
      </c>
      <c r="B19" s="143">
        <f>22003+22003</f>
        <v>44006</v>
      </c>
      <c r="C19" s="144">
        <v>226186</v>
      </c>
      <c r="D19" s="145">
        <f>10253+8836.7+83+81.4+107.8+99.9+68+670.4+333.8+10669.5+517.6+20+0.9</f>
        <v>31742.000000000004</v>
      </c>
      <c r="E19" s="146">
        <f>D19/D18*100</f>
        <v>74.62349716241695</v>
      </c>
      <c r="F19" s="146">
        <f t="shared" si="3"/>
        <v>72.13107303549516</v>
      </c>
      <c r="G19" s="146">
        <f t="shared" si="0"/>
        <v>14.03358298037898</v>
      </c>
      <c r="H19" s="145">
        <f t="shared" si="2"/>
        <v>12263.999999999996</v>
      </c>
      <c r="I19" s="145">
        <f t="shared" si="1"/>
        <v>194444</v>
      </c>
      <c r="J19" s="160"/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9"/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9"/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9"/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9"/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9"/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66884.7</v>
      </c>
      <c r="C25" s="129">
        <f>C18</f>
        <v>424151.5</v>
      </c>
      <c r="D25" s="129">
        <f>D18</f>
        <v>42536.200000000004</v>
      </c>
      <c r="E25" s="107">
        <f>D25/D18*100</f>
        <v>100</v>
      </c>
      <c r="F25" s="107">
        <f t="shared" si="3"/>
        <v>63.596308273790584</v>
      </c>
      <c r="G25" s="107">
        <f t="shared" si="0"/>
        <v>10.02853933087588</v>
      </c>
      <c r="H25" s="105">
        <f t="shared" si="2"/>
        <v>24348.499999999993</v>
      </c>
      <c r="I25" s="105">
        <f t="shared" si="1"/>
        <v>381615.3</v>
      </c>
      <c r="J25" s="159"/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59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59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59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59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59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59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59"/>
      <c r="K32" s="156">
        <f t="shared" si="4"/>
        <v>0</v>
      </c>
    </row>
    <row r="33" spans="1:11" ht="18.75" thickBot="1">
      <c r="A33" s="20" t="s">
        <v>17</v>
      </c>
      <c r="B33" s="38">
        <v>3826.4</v>
      </c>
      <c r="C33" s="39">
        <v>24805.1</v>
      </c>
      <c r="D33" s="42">
        <f>364.6+44.8+35.8+191.3+646.1+25.1+164.7+15+5.1+531+54.3+2.5+15.8+202.7+1.6</f>
        <v>2300.3999999999996</v>
      </c>
      <c r="E33" s="3">
        <f>D33/D152*100</f>
        <v>1.4047712391958285</v>
      </c>
      <c r="F33" s="3">
        <f>D33/B33*100</f>
        <v>60.1191720677399</v>
      </c>
      <c r="G33" s="3">
        <f t="shared" si="0"/>
        <v>9.273899319091637</v>
      </c>
      <c r="H33" s="40">
        <f t="shared" si="2"/>
        <v>1526.0000000000005</v>
      </c>
      <c r="I33" s="40">
        <f t="shared" si="1"/>
        <v>22504.699999999997</v>
      </c>
      <c r="J33" s="159"/>
      <c r="K33" s="156"/>
    </row>
    <row r="34" spans="1:11" s="93" customFormat="1" ht="18">
      <c r="A34" s="103" t="s">
        <v>3</v>
      </c>
      <c r="B34" s="128">
        <v>1958.5</v>
      </c>
      <c r="C34" s="129">
        <v>12906.6</v>
      </c>
      <c r="D34" s="105">
        <f>364.6+548.1+389.3</f>
        <v>1302</v>
      </c>
      <c r="E34" s="107">
        <f>D34/D33*100</f>
        <v>56.59885237350027</v>
      </c>
      <c r="F34" s="107">
        <f t="shared" si="3"/>
        <v>66.47944855756957</v>
      </c>
      <c r="G34" s="107">
        <f t="shared" si="0"/>
        <v>10.087862024080703</v>
      </c>
      <c r="H34" s="105">
        <f t="shared" si="2"/>
        <v>656.5</v>
      </c>
      <c r="I34" s="105">
        <f t="shared" si="1"/>
        <v>11604.6</v>
      </c>
      <c r="J34" s="159"/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J35" s="159"/>
      <c r="K35" s="156"/>
    </row>
    <row r="36" spans="1:11" s="93" customFormat="1" ht="18">
      <c r="A36" s="103" t="s">
        <v>0</v>
      </c>
      <c r="B36" s="128">
        <v>398.2</v>
      </c>
      <c r="C36" s="129">
        <v>1783</v>
      </c>
      <c r="D36" s="105">
        <f>0.3+11.3+141.7+12.6</f>
        <v>165.89999999999998</v>
      </c>
      <c r="E36" s="107">
        <f>D36/D33*100</f>
        <v>7.211789254042775</v>
      </c>
      <c r="F36" s="107">
        <f t="shared" si="3"/>
        <v>41.66248116524359</v>
      </c>
      <c r="G36" s="107">
        <f t="shared" si="0"/>
        <v>9.304542905215927</v>
      </c>
      <c r="H36" s="105">
        <f t="shared" si="2"/>
        <v>232.3</v>
      </c>
      <c r="I36" s="105">
        <f t="shared" si="1"/>
        <v>1617.1</v>
      </c>
      <c r="J36" s="159"/>
      <c r="K36" s="156"/>
    </row>
    <row r="37" spans="1:12" s="94" customFormat="1" ht="18">
      <c r="A37" s="119" t="s">
        <v>7</v>
      </c>
      <c r="B37" s="139">
        <v>102.7</v>
      </c>
      <c r="C37" s="140">
        <v>1008</v>
      </c>
      <c r="D37" s="110">
        <f>44.8+25.1+1.6</f>
        <v>71.5</v>
      </c>
      <c r="E37" s="114">
        <f>D37/D33*100</f>
        <v>3.1081551034602684</v>
      </c>
      <c r="F37" s="114">
        <f t="shared" si="3"/>
        <v>69.62025316455696</v>
      </c>
      <c r="G37" s="114">
        <f t="shared" si="0"/>
        <v>7.093253968253968</v>
      </c>
      <c r="H37" s="110">
        <f t="shared" si="2"/>
        <v>31.200000000000003</v>
      </c>
      <c r="I37" s="110">
        <f t="shared" si="1"/>
        <v>936.5</v>
      </c>
      <c r="J37" s="160"/>
      <c r="K37" s="156"/>
      <c r="L37" s="141"/>
    </row>
    <row r="38" spans="1:11" s="93" customFormat="1" ht="18">
      <c r="A38" s="103" t="s">
        <v>14</v>
      </c>
      <c r="B38" s="128">
        <v>10.2</v>
      </c>
      <c r="C38" s="129">
        <v>80.8</v>
      </c>
      <c r="D38" s="129">
        <f>5.1+5.1</f>
        <v>10.2</v>
      </c>
      <c r="E38" s="107">
        <f>D38/D33*100</f>
        <v>0.4434011476264998</v>
      </c>
      <c r="F38" s="107">
        <f t="shared" si="3"/>
        <v>100</v>
      </c>
      <c r="G38" s="107">
        <f t="shared" si="0"/>
        <v>12.623762376237623</v>
      </c>
      <c r="H38" s="105">
        <f t="shared" si="2"/>
        <v>0</v>
      </c>
      <c r="I38" s="105">
        <f t="shared" si="1"/>
        <v>70.6</v>
      </c>
      <c r="J38" s="159"/>
      <c r="K38" s="156"/>
    </row>
    <row r="39" spans="1:11" s="93" customFormat="1" ht="18.75" thickBot="1">
      <c r="A39" s="103" t="s">
        <v>27</v>
      </c>
      <c r="B39" s="128">
        <f>B33-B34-B36-B37-B35-B38</f>
        <v>1356.8</v>
      </c>
      <c r="C39" s="128">
        <f>C33-C34-C36-C37-C35-C38</f>
        <v>9026.699999999999</v>
      </c>
      <c r="D39" s="128">
        <f>D33-D34-D36-D37-D35-D38</f>
        <v>750.7999999999996</v>
      </c>
      <c r="E39" s="107">
        <f>D39/D33*100</f>
        <v>32.637802121370186</v>
      </c>
      <c r="F39" s="107">
        <f t="shared" si="3"/>
        <v>55.33608490566036</v>
      </c>
      <c r="G39" s="107">
        <f t="shared" si="0"/>
        <v>8.317546833283478</v>
      </c>
      <c r="H39" s="105">
        <f>B39-D39</f>
        <v>606.0000000000003</v>
      </c>
      <c r="I39" s="105">
        <f t="shared" si="1"/>
        <v>8275.9</v>
      </c>
      <c r="J39" s="159"/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59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59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59"/>
      <c r="K42" s="156">
        <f>C42-B42</f>
        <v>0</v>
      </c>
    </row>
    <row r="43" spans="1:11" ht="18.75" thickBot="1">
      <c r="A43" s="12" t="s">
        <v>16</v>
      </c>
      <c r="B43" s="76">
        <v>372</v>
      </c>
      <c r="C43" s="39">
        <v>1126.9</v>
      </c>
      <c r="D43" s="40">
        <f>63.9+1.1</f>
        <v>65</v>
      </c>
      <c r="E43" s="3">
        <f>D43/D152*100</f>
        <v>0.039693153602733816</v>
      </c>
      <c r="F43" s="3">
        <f>D43/B43*100</f>
        <v>17.473118279569892</v>
      </c>
      <c r="G43" s="3">
        <f t="shared" si="0"/>
        <v>5.768036205519566</v>
      </c>
      <c r="H43" s="40">
        <f t="shared" si="2"/>
        <v>307</v>
      </c>
      <c r="I43" s="40">
        <f t="shared" si="1"/>
        <v>1061.9</v>
      </c>
      <c r="J43" s="159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59"/>
      <c r="K44" s="156"/>
    </row>
    <row r="45" spans="1:11" ht="18.75" thickBot="1">
      <c r="A45" s="20" t="s">
        <v>44</v>
      </c>
      <c r="B45" s="38">
        <v>2052.8</v>
      </c>
      <c r="C45" s="39">
        <v>13576.3</v>
      </c>
      <c r="D45" s="40">
        <f>237.1+562.8+52.3+349.2</f>
        <v>1201.3999999999999</v>
      </c>
      <c r="E45" s="3">
        <f>D45/D152*100</f>
        <v>0.733651611358837</v>
      </c>
      <c r="F45" s="3">
        <f>D45/B45*100</f>
        <v>58.52494154325798</v>
      </c>
      <c r="G45" s="3">
        <f aca="true" t="shared" si="5" ref="G45:G76">D45/C45*100</f>
        <v>8.849244639555696</v>
      </c>
      <c r="H45" s="40">
        <f>B45-D45</f>
        <v>851.4000000000003</v>
      </c>
      <c r="I45" s="40">
        <f aca="true" t="shared" si="6" ref="I45:I77">C45-D45</f>
        <v>12374.9</v>
      </c>
      <c r="J45" s="159"/>
      <c r="K45" s="156"/>
    </row>
    <row r="46" spans="1:11" s="93" customFormat="1" ht="18">
      <c r="A46" s="103" t="s">
        <v>3</v>
      </c>
      <c r="B46" s="128">
        <v>1833.1</v>
      </c>
      <c r="C46" s="129">
        <v>12256.4</v>
      </c>
      <c r="D46" s="105">
        <f>237.1+551.8+334.1</f>
        <v>1123</v>
      </c>
      <c r="E46" s="107">
        <f>D46/D45*100</f>
        <v>93.4742800066589</v>
      </c>
      <c r="F46" s="107">
        <f aca="true" t="shared" si="7" ref="F46:F74">D46/B46*100</f>
        <v>61.26234247995199</v>
      </c>
      <c r="G46" s="107">
        <f t="shared" si="5"/>
        <v>9.16255996866943</v>
      </c>
      <c r="H46" s="105">
        <f aca="true" t="shared" si="8" ref="H46:H74">B46-D46</f>
        <v>710.0999999999999</v>
      </c>
      <c r="I46" s="105">
        <f t="shared" si="6"/>
        <v>11133.4</v>
      </c>
      <c r="J46" s="159"/>
      <c r="K46" s="156"/>
    </row>
    <row r="47" spans="1:11" s="93" customFormat="1" ht="18" hidden="1">
      <c r="A47" s="103" t="s">
        <v>2</v>
      </c>
      <c r="B47" s="128">
        <v>0</v>
      </c>
      <c r="C47" s="129">
        <v>0</v>
      </c>
      <c r="D47" s="105"/>
      <c r="E47" s="107">
        <f>D47/D45*100</f>
        <v>0</v>
      </c>
      <c r="F47" s="107" t="e">
        <f t="shared" si="7"/>
        <v>#DIV/0!</v>
      </c>
      <c r="G47" s="107" t="e">
        <f t="shared" si="5"/>
        <v>#DIV/0!</v>
      </c>
      <c r="H47" s="105">
        <f t="shared" si="8"/>
        <v>0</v>
      </c>
      <c r="I47" s="105">
        <f t="shared" si="6"/>
        <v>0</v>
      </c>
      <c r="J47" s="159"/>
      <c r="K47" s="156"/>
    </row>
    <row r="48" spans="1:11" s="93" customFormat="1" ht="18">
      <c r="A48" s="103" t="s">
        <v>1</v>
      </c>
      <c r="B48" s="128">
        <v>10.1</v>
      </c>
      <c r="C48" s="129">
        <v>98.9</v>
      </c>
      <c r="D48" s="105">
        <v>5.7</v>
      </c>
      <c r="E48" s="107">
        <f>D48/D45*100</f>
        <v>0.47444647910770776</v>
      </c>
      <c r="F48" s="107">
        <f t="shared" si="7"/>
        <v>56.43564356435644</v>
      </c>
      <c r="G48" s="107">
        <f t="shared" si="5"/>
        <v>5.763397371081901</v>
      </c>
      <c r="H48" s="105">
        <f t="shared" si="8"/>
        <v>4.3999999999999995</v>
      </c>
      <c r="I48" s="105">
        <f t="shared" si="6"/>
        <v>93.2</v>
      </c>
      <c r="J48" s="159"/>
      <c r="K48" s="156"/>
    </row>
    <row r="49" spans="1:11" s="93" customFormat="1" ht="18">
      <c r="A49" s="103" t="s">
        <v>0</v>
      </c>
      <c r="B49" s="128">
        <v>173.7</v>
      </c>
      <c r="C49" s="129">
        <v>879.8</v>
      </c>
      <c r="D49" s="105">
        <f>7.3+51.9</f>
        <v>59.199999999999996</v>
      </c>
      <c r="E49" s="107">
        <f>D49/D45*100</f>
        <v>4.927584484767771</v>
      </c>
      <c r="F49" s="107">
        <f t="shared" si="7"/>
        <v>34.08175014392631</v>
      </c>
      <c r="G49" s="107">
        <f t="shared" si="5"/>
        <v>6.72880200045465</v>
      </c>
      <c r="H49" s="105">
        <f t="shared" si="8"/>
        <v>114.5</v>
      </c>
      <c r="I49" s="105">
        <f t="shared" si="6"/>
        <v>820.5999999999999</v>
      </c>
      <c r="J49" s="159"/>
      <c r="K49" s="156"/>
    </row>
    <row r="50" spans="1:11" s="93" customFormat="1" ht="18.75" thickBot="1">
      <c r="A50" s="103" t="s">
        <v>27</v>
      </c>
      <c r="B50" s="129">
        <f>B45-B46-B49-B48-B47</f>
        <v>35.90000000000028</v>
      </c>
      <c r="C50" s="129">
        <f>C45-C46-C49-C48-C47</f>
        <v>341.1999999999997</v>
      </c>
      <c r="D50" s="129">
        <f>D45-D46-D49-D48-D47</f>
        <v>13.499999999999869</v>
      </c>
      <c r="E50" s="107">
        <f>D50/D45*100</f>
        <v>1.1236890294656128</v>
      </c>
      <c r="F50" s="107">
        <f t="shared" si="7"/>
        <v>37.60445682451187</v>
      </c>
      <c r="G50" s="107">
        <f t="shared" si="5"/>
        <v>3.956623681125405</v>
      </c>
      <c r="H50" s="105">
        <f t="shared" si="8"/>
        <v>22.400000000000414</v>
      </c>
      <c r="I50" s="105">
        <f t="shared" si="6"/>
        <v>327.6999999999998</v>
      </c>
      <c r="J50" s="159"/>
      <c r="K50" s="156"/>
    </row>
    <row r="51" spans="1:11" ht="18.75" thickBot="1">
      <c r="A51" s="20" t="s">
        <v>4</v>
      </c>
      <c r="B51" s="38">
        <v>4625.7</v>
      </c>
      <c r="C51" s="39">
        <v>37135.4</v>
      </c>
      <c r="D51" s="40">
        <f>632.9+35.2+911.5+180.2+1+93.6+110+157.4+908.3+5.2</f>
        <v>3035.2999999999993</v>
      </c>
      <c r="E51" s="3">
        <f>D51/D152*100</f>
        <v>1.8535481404673526</v>
      </c>
      <c r="F51" s="3">
        <f>D51/B51*100</f>
        <v>65.61817670839007</v>
      </c>
      <c r="G51" s="3">
        <f t="shared" si="5"/>
        <v>8.173602546357381</v>
      </c>
      <c r="H51" s="40">
        <f>B51-D51</f>
        <v>1590.4000000000005</v>
      </c>
      <c r="I51" s="40">
        <f t="shared" si="6"/>
        <v>34100.100000000006</v>
      </c>
      <c r="J51" s="159"/>
      <c r="K51" s="156"/>
    </row>
    <row r="52" spans="1:11" s="93" customFormat="1" ht="18">
      <c r="A52" s="103" t="s">
        <v>3</v>
      </c>
      <c r="B52" s="128">
        <v>2926.3</v>
      </c>
      <c r="C52" s="129">
        <v>20097.4</v>
      </c>
      <c r="D52" s="105">
        <f>632.9+34.3+767.3+737.6</f>
        <v>2172.1</v>
      </c>
      <c r="E52" s="107">
        <f>D52/D51*100</f>
        <v>71.56129542384609</v>
      </c>
      <c r="F52" s="107">
        <f t="shared" si="7"/>
        <v>74.22683935344973</v>
      </c>
      <c r="G52" s="107">
        <f t="shared" si="5"/>
        <v>10.807865694069879</v>
      </c>
      <c r="H52" s="105">
        <f t="shared" si="8"/>
        <v>754.2000000000003</v>
      </c>
      <c r="I52" s="105">
        <f t="shared" si="6"/>
        <v>17925.300000000003</v>
      </c>
      <c r="J52" s="159"/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59"/>
      <c r="K53" s="156"/>
    </row>
    <row r="54" spans="1:11" s="93" customFormat="1" ht="18">
      <c r="A54" s="103" t="s">
        <v>1</v>
      </c>
      <c r="B54" s="128">
        <v>71.1</v>
      </c>
      <c r="C54" s="129">
        <v>993.6</v>
      </c>
      <c r="D54" s="105">
        <f>0.2+4.2+9+4.8</f>
        <v>18.2</v>
      </c>
      <c r="E54" s="107">
        <f>D54/D51*100</f>
        <v>0.5996112410634864</v>
      </c>
      <c r="F54" s="107">
        <f t="shared" si="7"/>
        <v>25.59774964838256</v>
      </c>
      <c r="G54" s="107">
        <f t="shared" si="5"/>
        <v>1.831723027375201</v>
      </c>
      <c r="H54" s="105">
        <f t="shared" si="8"/>
        <v>52.89999999999999</v>
      </c>
      <c r="I54" s="105">
        <f t="shared" si="6"/>
        <v>975.4</v>
      </c>
      <c r="J54" s="159"/>
      <c r="K54" s="156"/>
    </row>
    <row r="55" spans="1:11" s="93" customFormat="1" ht="18">
      <c r="A55" s="103" t="s">
        <v>0</v>
      </c>
      <c r="B55" s="128">
        <v>177.5</v>
      </c>
      <c r="C55" s="129">
        <v>1219.9</v>
      </c>
      <c r="D55" s="105">
        <f>0.5+1+2.8+12.3+8.3+0.5</f>
        <v>25.400000000000002</v>
      </c>
      <c r="E55" s="107">
        <f>D55/D51*100</f>
        <v>0.8368200836820087</v>
      </c>
      <c r="F55" s="107">
        <f t="shared" si="7"/>
        <v>14.30985915492958</v>
      </c>
      <c r="G55" s="107">
        <f t="shared" si="5"/>
        <v>2.082137880154111</v>
      </c>
      <c r="H55" s="105">
        <f t="shared" si="8"/>
        <v>152.1</v>
      </c>
      <c r="I55" s="105">
        <f t="shared" si="6"/>
        <v>1194.5</v>
      </c>
      <c r="J55" s="159"/>
      <c r="K55" s="156"/>
    </row>
    <row r="56" spans="1:11" s="93" customFormat="1" ht="18">
      <c r="A56" s="103" t="s">
        <v>14</v>
      </c>
      <c r="B56" s="128">
        <v>220</v>
      </c>
      <c r="C56" s="129">
        <v>13200</v>
      </c>
      <c r="D56" s="129">
        <f>110+110</f>
        <v>220</v>
      </c>
      <c r="E56" s="107">
        <f>D56/D51*100</f>
        <v>7.248047968899287</v>
      </c>
      <c r="F56" s="107">
        <f>D56/B56*100</f>
        <v>100</v>
      </c>
      <c r="G56" s="107">
        <f>D56/C56*100</f>
        <v>1.6666666666666667</v>
      </c>
      <c r="H56" s="105">
        <f t="shared" si="8"/>
        <v>0</v>
      </c>
      <c r="I56" s="105">
        <f t="shared" si="6"/>
        <v>12980</v>
      </c>
      <c r="J56" s="159"/>
      <c r="K56" s="156"/>
    </row>
    <row r="57" spans="1:11" s="93" customFormat="1" ht="18.75" thickBot="1">
      <c r="A57" s="103" t="s">
        <v>27</v>
      </c>
      <c r="B57" s="129">
        <f>B51-B52-B55-B54-B53-B56</f>
        <v>1230.7999999999997</v>
      </c>
      <c r="C57" s="129">
        <f>C51-C52-C55-C54-C53-C56</f>
        <v>1610.6000000000004</v>
      </c>
      <c r="D57" s="129">
        <f>D51-D52-D55-D54-D53-D56</f>
        <v>599.5999999999993</v>
      </c>
      <c r="E57" s="107">
        <f>D57/D51*100</f>
        <v>19.754225282509125</v>
      </c>
      <c r="F57" s="107">
        <f t="shared" si="7"/>
        <v>48.71628209294763</v>
      </c>
      <c r="G57" s="107">
        <f t="shared" si="5"/>
        <v>37.22836210108029</v>
      </c>
      <c r="H57" s="105">
        <f>B57-D57</f>
        <v>631.2000000000004</v>
      </c>
      <c r="I57" s="105">
        <f>C57-D57</f>
        <v>1011.000000000001</v>
      </c>
      <c r="J57" s="159"/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0"/>
      <c r="K58" s="156">
        <f>C58-B58</f>
        <v>0</v>
      </c>
    </row>
    <row r="59" spans="1:11" ht="18.75" thickBot="1">
      <c r="A59" s="20" t="s">
        <v>6</v>
      </c>
      <c r="B59" s="38">
        <v>613.2</v>
      </c>
      <c r="C59" s="39">
        <v>9264.2</v>
      </c>
      <c r="D59" s="40">
        <f>87.7+79.1+87.8+43.2+40.5+47.6+13</f>
        <v>398.90000000000003</v>
      </c>
      <c r="E59" s="3">
        <f>D59/D152*100</f>
        <v>0.24359383034046952</v>
      </c>
      <c r="F59" s="3">
        <f>D59/B59*100</f>
        <v>65.0521852576647</v>
      </c>
      <c r="G59" s="3">
        <f t="shared" si="5"/>
        <v>4.305822413160338</v>
      </c>
      <c r="H59" s="40">
        <f>B59-D59</f>
        <v>214.3</v>
      </c>
      <c r="I59" s="40">
        <f t="shared" si="6"/>
        <v>8865.300000000001</v>
      </c>
      <c r="J59" s="159"/>
      <c r="K59" s="156"/>
    </row>
    <row r="60" spans="1:11" s="93" customFormat="1" ht="18">
      <c r="A60" s="103" t="s">
        <v>3</v>
      </c>
      <c r="B60" s="128">
        <v>488.4</v>
      </c>
      <c r="C60" s="129">
        <v>3119.7</v>
      </c>
      <c r="D60" s="105">
        <f>77.7+79.1+76.9+40.5+47.3</f>
        <v>321.50000000000006</v>
      </c>
      <c r="E60" s="107">
        <f>D60/D59*100</f>
        <v>80.59664076209577</v>
      </c>
      <c r="F60" s="107">
        <f t="shared" si="7"/>
        <v>65.82719082719083</v>
      </c>
      <c r="G60" s="107">
        <f t="shared" si="5"/>
        <v>10.30547809084207</v>
      </c>
      <c r="H60" s="105">
        <f t="shared" si="8"/>
        <v>166.89999999999992</v>
      </c>
      <c r="I60" s="105">
        <f t="shared" si="6"/>
        <v>2798.2</v>
      </c>
      <c r="J60" s="159"/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J61" s="159"/>
      <c r="K61" s="156"/>
    </row>
    <row r="62" spans="1:11" s="93" customFormat="1" ht="18">
      <c r="A62" s="103" t="s">
        <v>0</v>
      </c>
      <c r="B62" s="128">
        <v>87.1</v>
      </c>
      <c r="C62" s="129">
        <v>393.7</v>
      </c>
      <c r="D62" s="105">
        <f>10.9+43.2+13</f>
        <v>67.1</v>
      </c>
      <c r="E62" s="107">
        <f>D62/D59*100</f>
        <v>16.82125846076711</v>
      </c>
      <c r="F62" s="107">
        <f t="shared" si="7"/>
        <v>77.03788748564868</v>
      </c>
      <c r="G62" s="107">
        <f t="shared" si="5"/>
        <v>17.043434086868174</v>
      </c>
      <c r="H62" s="105">
        <f t="shared" si="8"/>
        <v>20</v>
      </c>
      <c r="I62" s="105">
        <f t="shared" si="6"/>
        <v>326.6</v>
      </c>
      <c r="J62" s="159"/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/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J63" s="159"/>
      <c r="K63" s="156"/>
    </row>
    <row r="64" spans="1:11" s="93" customFormat="1" ht="18.75" thickBot="1">
      <c r="A64" s="103" t="s">
        <v>27</v>
      </c>
      <c r="B64" s="129">
        <f>B59-B60-B62-B63-B61</f>
        <v>37.700000000000074</v>
      </c>
      <c r="C64" s="129">
        <f>C59-C60-C62-C63-C61</f>
        <v>523.5000000000007</v>
      </c>
      <c r="D64" s="129">
        <f>D59-D60-D62-D63-D61</f>
        <v>10.299999999999983</v>
      </c>
      <c r="E64" s="107">
        <f>D64/D59*100</f>
        <v>2.5821007771371227</v>
      </c>
      <c r="F64" s="107">
        <f t="shared" si="7"/>
        <v>27.320954907161703</v>
      </c>
      <c r="G64" s="107">
        <f t="shared" si="5"/>
        <v>1.9675262655205292</v>
      </c>
      <c r="H64" s="105">
        <f t="shared" si="8"/>
        <v>27.40000000000009</v>
      </c>
      <c r="I64" s="105">
        <f t="shared" si="6"/>
        <v>513.2000000000007</v>
      </c>
      <c r="J64" s="159"/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0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0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0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0"/>
      <c r="K68" s="156">
        <f>C68-B68</f>
        <v>0</v>
      </c>
    </row>
    <row r="69" spans="1:11" ht="18.75" thickBot="1">
      <c r="A69" s="20" t="s">
        <v>20</v>
      </c>
      <c r="B69" s="39">
        <f>B70+B71</f>
        <v>35</v>
      </c>
      <c r="C69" s="39">
        <f>C70+C71</f>
        <v>585.9000000000001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35</v>
      </c>
      <c r="I69" s="40">
        <f t="shared" si="6"/>
        <v>585.9000000000001</v>
      </c>
      <c r="J69" s="159"/>
      <c r="K69" s="156"/>
    </row>
    <row r="70" spans="1:11" s="93" customFormat="1" ht="18">
      <c r="A70" s="103" t="s">
        <v>8</v>
      </c>
      <c r="B70" s="128">
        <v>0</v>
      </c>
      <c r="C70" s="129">
        <v>219.5</v>
      </c>
      <c r="D70" s="105"/>
      <c r="E70" s="107" t="e">
        <f>D70/D69*100</f>
        <v>#DIV/0!</v>
      </c>
      <c r="F70" s="107" t="e">
        <f t="shared" si="7"/>
        <v>#DIV/0!</v>
      </c>
      <c r="G70" s="107">
        <f t="shared" si="5"/>
        <v>0</v>
      </c>
      <c r="H70" s="105">
        <f t="shared" si="8"/>
        <v>0</v>
      </c>
      <c r="I70" s="105">
        <f t="shared" si="6"/>
        <v>219.5</v>
      </c>
      <c r="J70" s="159"/>
      <c r="K70" s="156"/>
    </row>
    <row r="71" spans="1:11" s="93" customFormat="1" ht="18.75" thickBot="1">
      <c r="A71" s="103" t="s">
        <v>9</v>
      </c>
      <c r="B71" s="128">
        <v>35</v>
      </c>
      <c r="C71" s="129">
        <f>331.6+34.8</f>
        <v>366.40000000000003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35</v>
      </c>
      <c r="I71" s="105">
        <f t="shared" si="6"/>
        <v>366.40000000000003</v>
      </c>
      <c r="J71" s="159"/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59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59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59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59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59"/>
      <c r="K76" s="156"/>
    </row>
    <row r="77" spans="1:11" s="32" customFormat="1" ht="18.75" thickBot="1">
      <c r="A77" s="23" t="s">
        <v>13</v>
      </c>
      <c r="B77" s="46">
        <v>2833.3</v>
      </c>
      <c r="C77" s="53">
        <v>17000</v>
      </c>
      <c r="D77" s="54"/>
      <c r="E77" s="34"/>
      <c r="F77" s="34"/>
      <c r="G77" s="34"/>
      <c r="H77" s="54">
        <f>B77-D77</f>
        <v>2833.3</v>
      </c>
      <c r="I77" s="54">
        <f t="shared" si="6"/>
        <v>17000</v>
      </c>
      <c r="J77" s="160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59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59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1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1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1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1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59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59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59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59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59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59"/>
      <c r="K89" s="156"/>
    </row>
    <row r="90" spans="1:11" ht="18.75" thickBot="1">
      <c r="A90" s="12" t="s">
        <v>10</v>
      </c>
      <c r="B90" s="45">
        <v>32470.8</v>
      </c>
      <c r="C90" s="39">
        <v>200580.6</v>
      </c>
      <c r="D90" s="40">
        <f>3076.1+1190.1+85.4+19.6+5.2+812.5+1196.5+4.7+5442.2+898.8+0.6+38.7+164.7+18.3+70.9+29.7+34.8+531.6+4509.6+56.1+8.5+41+4+52+75.9+988.9</f>
        <v>19356.4</v>
      </c>
      <c r="E90" s="3">
        <f>D90/D152*100</f>
        <v>11.820254744553184</v>
      </c>
      <c r="F90" s="3">
        <f aca="true" t="shared" si="11" ref="F90:F96">D90/B90*100</f>
        <v>59.61171267723617</v>
      </c>
      <c r="G90" s="3">
        <f t="shared" si="9"/>
        <v>9.650185511460231</v>
      </c>
      <c r="H90" s="40">
        <f aca="true" t="shared" si="12" ref="H90:H96">B90-D90</f>
        <v>13114.399999999998</v>
      </c>
      <c r="I90" s="40">
        <f t="shared" si="10"/>
        <v>181224.2</v>
      </c>
      <c r="J90" s="159"/>
      <c r="K90" s="156"/>
    </row>
    <row r="91" spans="1:11" s="93" customFormat="1" ht="18">
      <c r="A91" s="103" t="s">
        <v>3</v>
      </c>
      <c r="B91" s="128">
        <v>30574.2</v>
      </c>
      <c r="C91" s="129">
        <v>190000</v>
      </c>
      <c r="D91" s="105">
        <f>3071.3+1190.01+77.9+810.1+1179.1+5434.9+841.3+37+143.9+8.8+37.8+16.1+28.3+518.4+4342.6+40+45.8+973</f>
        <v>18796.309999999994</v>
      </c>
      <c r="E91" s="107">
        <f>D91/D90*100</f>
        <v>97.10643508090342</v>
      </c>
      <c r="F91" s="107">
        <f t="shared" si="11"/>
        <v>61.477683798758406</v>
      </c>
      <c r="G91" s="107">
        <f t="shared" si="9"/>
        <v>9.892794736842102</v>
      </c>
      <c r="H91" s="105">
        <f t="shared" si="12"/>
        <v>11777.890000000007</v>
      </c>
      <c r="I91" s="105">
        <f t="shared" si="10"/>
        <v>171203.69</v>
      </c>
      <c r="J91" s="159"/>
      <c r="K91" s="156"/>
    </row>
    <row r="92" spans="1:11" s="93" customFormat="1" ht="18">
      <c r="A92" s="103" t="s">
        <v>25</v>
      </c>
      <c r="B92" s="128">
        <f>718.6+0.3</f>
        <v>718.9</v>
      </c>
      <c r="C92" s="129">
        <v>2776.4</v>
      </c>
      <c r="D92" s="105">
        <f>57.2+3.4+167+1.4</f>
        <v>229</v>
      </c>
      <c r="E92" s="107">
        <f>D92/D90*100</f>
        <v>1.1830712322539314</v>
      </c>
      <c r="F92" s="107">
        <f t="shared" si="11"/>
        <v>31.854221727639448</v>
      </c>
      <c r="G92" s="107">
        <f t="shared" si="9"/>
        <v>8.248091053162367</v>
      </c>
      <c r="H92" s="105">
        <f t="shared" si="12"/>
        <v>489.9</v>
      </c>
      <c r="I92" s="105">
        <f t="shared" si="10"/>
        <v>2547.4</v>
      </c>
      <c r="J92" s="159"/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59"/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1177.6999999999985</v>
      </c>
      <c r="C94" s="129">
        <f>C90-C91-C92-C93</f>
        <v>7804.200000000006</v>
      </c>
      <c r="D94" s="129">
        <f>D90-D91-D92-D93</f>
        <v>331.0900000000074</v>
      </c>
      <c r="E94" s="107">
        <f>D94/D90*100</f>
        <v>1.7104936868426328</v>
      </c>
      <c r="F94" s="107">
        <f t="shared" si="11"/>
        <v>28.11327163114612</v>
      </c>
      <c r="G94" s="107">
        <f>D94/C94*100</f>
        <v>4.242459188642105</v>
      </c>
      <c r="H94" s="105">
        <f t="shared" si="12"/>
        <v>846.609999999991</v>
      </c>
      <c r="I94" s="105">
        <f>C94-D94</f>
        <v>7473.109999999999</v>
      </c>
      <c r="J94" s="159"/>
      <c r="K94" s="156"/>
    </row>
    <row r="95" spans="1:11" ht="18">
      <c r="A95" s="82" t="s">
        <v>12</v>
      </c>
      <c r="B95" s="91">
        <v>7211.3</v>
      </c>
      <c r="C95" s="85">
        <v>46414.5</v>
      </c>
      <c r="D95" s="84">
        <f>627.6+194.6+194.6+1234+510.7+28.2+0.5+182.1+337.6+34.8</f>
        <v>3344.7</v>
      </c>
      <c r="E95" s="81">
        <f>D95/D152*100</f>
        <v>2.042487551616366</v>
      </c>
      <c r="F95" s="83">
        <f t="shared" si="11"/>
        <v>46.381373677422935</v>
      </c>
      <c r="G95" s="80">
        <f>D95/C95*100</f>
        <v>7.206153249523317</v>
      </c>
      <c r="H95" s="84">
        <f t="shared" si="12"/>
        <v>3866.6000000000004</v>
      </c>
      <c r="I95" s="87">
        <f>C95-D95</f>
        <v>43069.8</v>
      </c>
      <c r="J95" s="159"/>
      <c r="K95" s="156"/>
    </row>
    <row r="96" spans="1:11" s="93" customFormat="1" ht="18.75" thickBot="1">
      <c r="A96" s="131" t="s">
        <v>83</v>
      </c>
      <c r="B96" s="132">
        <v>2686.9</v>
      </c>
      <c r="C96" s="133">
        <v>12814.2</v>
      </c>
      <c r="D96" s="134">
        <f>194.6+1234+3.4+0.5</f>
        <v>1432.5</v>
      </c>
      <c r="E96" s="135">
        <f>D96/D95*100</f>
        <v>42.828953269351516</v>
      </c>
      <c r="F96" s="136">
        <f t="shared" si="11"/>
        <v>53.31422829282817</v>
      </c>
      <c r="G96" s="137">
        <f>D96/C96*100</f>
        <v>11.1790045418364</v>
      </c>
      <c r="H96" s="138">
        <f t="shared" si="12"/>
        <v>1254.4</v>
      </c>
      <c r="I96" s="127">
        <f>C96-D96</f>
        <v>11381.7</v>
      </c>
      <c r="J96" s="159"/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59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59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59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2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59"/>
      <c r="K101" s="156">
        <f t="shared" si="13"/>
        <v>0</v>
      </c>
    </row>
    <row r="102" spans="1:11" s="32" customFormat="1" ht="18.75" thickBot="1">
      <c r="A102" s="12" t="s">
        <v>11</v>
      </c>
      <c r="B102" s="90">
        <v>1511.6</v>
      </c>
      <c r="C102" s="70">
        <v>11266.5</v>
      </c>
      <c r="D102" s="65">
        <f>144.5+120.5+0.1+30.9+51.6+143.8+13.5+25.2</f>
        <v>530.1</v>
      </c>
      <c r="E102" s="17">
        <f>D102/D152*100</f>
        <v>0.3237129342278338</v>
      </c>
      <c r="F102" s="17">
        <f>D102/B102*100</f>
        <v>35.068801270177296</v>
      </c>
      <c r="G102" s="17">
        <f aca="true" t="shared" si="14" ref="G102:G150">D102/C102*100</f>
        <v>4.705099187857808</v>
      </c>
      <c r="H102" s="65">
        <f aca="true" t="shared" si="15" ref="H102:H107">B102-D102</f>
        <v>981.4999999999999</v>
      </c>
      <c r="I102" s="65">
        <f aca="true" t="shared" si="16" ref="I102:I150">C102-D102</f>
        <v>10736.4</v>
      </c>
      <c r="J102" s="160"/>
      <c r="K102" s="156"/>
    </row>
    <row r="103" spans="1:11" s="93" customFormat="1" ht="18.75" customHeight="1">
      <c r="A103" s="103" t="s">
        <v>3</v>
      </c>
      <c r="B103" s="120">
        <v>0</v>
      </c>
      <c r="C103" s="121">
        <v>363.8</v>
      </c>
      <c r="D103" s="121"/>
      <c r="E103" s="122">
        <f>D103/D102*100</f>
        <v>0</v>
      </c>
      <c r="F103" s="107" t="e">
        <f>D103/B103*100</f>
        <v>#DIV/0!</v>
      </c>
      <c r="G103" s="122">
        <f>D103/C103*100</f>
        <v>0</v>
      </c>
      <c r="H103" s="121">
        <f t="shared" si="15"/>
        <v>0</v>
      </c>
      <c r="I103" s="121">
        <f t="shared" si="16"/>
        <v>363.8</v>
      </c>
      <c r="J103" s="159"/>
      <c r="K103" s="156"/>
    </row>
    <row r="104" spans="1:11" s="93" customFormat="1" ht="18">
      <c r="A104" s="123" t="s">
        <v>48</v>
      </c>
      <c r="B104" s="104">
        <v>1390</v>
      </c>
      <c r="C104" s="105">
        <v>8949.2</v>
      </c>
      <c r="D104" s="105">
        <f>144.4+120.5+0.1+30.9+51.6+143.7+13.5+25.2</f>
        <v>529.9</v>
      </c>
      <c r="E104" s="107">
        <f>D104/D102*100</f>
        <v>99.96227126957177</v>
      </c>
      <c r="F104" s="107">
        <f aca="true" t="shared" si="17" ref="F104:F150">D104/B104*100</f>
        <v>38.12230215827338</v>
      </c>
      <c r="G104" s="107">
        <f t="shared" si="14"/>
        <v>5.921199660304831</v>
      </c>
      <c r="H104" s="105">
        <f t="shared" si="15"/>
        <v>860.1</v>
      </c>
      <c r="I104" s="105">
        <f t="shared" si="16"/>
        <v>8419.300000000001</v>
      </c>
      <c r="J104" s="159"/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9"/>
      <c r="K105" s="156"/>
    </row>
    <row r="106" spans="1:11" s="93" customFormat="1" ht="18.75" thickBot="1">
      <c r="A106" s="124" t="s">
        <v>27</v>
      </c>
      <c r="B106" s="125">
        <f>B102-B103-B104</f>
        <v>121.59999999999991</v>
      </c>
      <c r="C106" s="125">
        <f>C102-C103-C104</f>
        <v>1953.5</v>
      </c>
      <c r="D106" s="125">
        <f>D102-D103-D104</f>
        <v>0.20000000000004547</v>
      </c>
      <c r="E106" s="126">
        <f>D106/D102*100</f>
        <v>0.03772873042822966</v>
      </c>
      <c r="F106" s="126">
        <f t="shared" si="17"/>
        <v>0.16447368421056385</v>
      </c>
      <c r="G106" s="126">
        <f t="shared" si="14"/>
        <v>0.010238034297417225</v>
      </c>
      <c r="H106" s="127">
        <f>B106-D106</f>
        <v>121.39999999999986</v>
      </c>
      <c r="I106" s="127">
        <f t="shared" si="16"/>
        <v>1953.3</v>
      </c>
      <c r="J106" s="159"/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24119.9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16063.399999999998</v>
      </c>
      <c r="E107" s="68">
        <f>D107/D152*100</f>
        <v>9.809338516648527</v>
      </c>
      <c r="F107" s="68">
        <f>D107/B107*100</f>
        <v>66.59812022437903</v>
      </c>
      <c r="G107" s="68">
        <f t="shared" si="14"/>
        <v>3.27485041525325</v>
      </c>
      <c r="H107" s="67">
        <f t="shared" si="15"/>
        <v>8056.500000000004</v>
      </c>
      <c r="I107" s="67">
        <f t="shared" si="16"/>
        <v>474444.5</v>
      </c>
      <c r="J107" s="158"/>
      <c r="K107" s="156"/>
      <c r="L107" s="96"/>
    </row>
    <row r="108" spans="1:12" s="93" customFormat="1" ht="36.75">
      <c r="A108" s="97" t="s">
        <v>52</v>
      </c>
      <c r="B108" s="98">
        <v>679.8</v>
      </c>
      <c r="C108" s="165">
        <v>4459</v>
      </c>
      <c r="D108" s="99">
        <f>17.1+81.1+17.3+60.5+173.3+3.4+2+0.4+29.3</f>
        <v>384.4</v>
      </c>
      <c r="E108" s="100">
        <f>D108/D107*100</f>
        <v>2.3930176674925607</v>
      </c>
      <c r="F108" s="100">
        <f t="shared" si="17"/>
        <v>56.54604295380995</v>
      </c>
      <c r="G108" s="100">
        <f t="shared" si="14"/>
        <v>8.620766988113926</v>
      </c>
      <c r="H108" s="101">
        <f aca="true" t="shared" si="18" ref="H108:H150">B108-D108</f>
        <v>295.4</v>
      </c>
      <c r="I108" s="101">
        <f t="shared" si="16"/>
        <v>4074.6</v>
      </c>
      <c r="J108" s="159"/>
      <c r="K108" s="156"/>
      <c r="L108" s="102"/>
    </row>
    <row r="109" spans="1:12" s="93" customFormat="1" ht="18">
      <c r="A109" s="103" t="s">
        <v>25</v>
      </c>
      <c r="B109" s="104">
        <v>289.6</v>
      </c>
      <c r="C109" s="166">
        <v>1995</v>
      </c>
      <c r="D109" s="106">
        <f>47.8+0.9+59.7+88.3</f>
        <v>196.7</v>
      </c>
      <c r="E109" s="107">
        <f>D109/D108*100</f>
        <v>51.170655567117585</v>
      </c>
      <c r="F109" s="107">
        <f t="shared" si="17"/>
        <v>67.92127071823202</v>
      </c>
      <c r="G109" s="107">
        <f t="shared" si="14"/>
        <v>9.859649122807017</v>
      </c>
      <c r="H109" s="105">
        <f t="shared" si="18"/>
        <v>92.90000000000003</v>
      </c>
      <c r="I109" s="105">
        <f t="shared" si="16"/>
        <v>1798.3</v>
      </c>
      <c r="J109" s="159"/>
      <c r="K109" s="156"/>
      <c r="L109" s="102"/>
    </row>
    <row r="110" spans="1:12" s="93" customFormat="1" ht="34.5" customHeight="1" hidden="1">
      <c r="A110" s="108" t="s">
        <v>78</v>
      </c>
      <c r="B110" s="109"/>
      <c r="C110" s="167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J110" s="159"/>
      <c r="K110" s="156"/>
      <c r="L110" s="102"/>
    </row>
    <row r="111" spans="1:12" s="94" customFormat="1" ht="34.5" customHeight="1">
      <c r="A111" s="108" t="s">
        <v>93</v>
      </c>
      <c r="B111" s="109">
        <v>0</v>
      </c>
      <c r="C111" s="168">
        <v>200</v>
      </c>
      <c r="D111" s="111"/>
      <c r="E111" s="100">
        <f>D111/D107*100</f>
        <v>0</v>
      </c>
      <c r="F111" s="112" t="e">
        <f t="shared" si="17"/>
        <v>#DIV/0!</v>
      </c>
      <c r="G111" s="100">
        <f t="shared" si="14"/>
        <v>0</v>
      </c>
      <c r="H111" s="101">
        <f t="shared" si="18"/>
        <v>0</v>
      </c>
      <c r="I111" s="101">
        <f t="shared" si="16"/>
        <v>200</v>
      </c>
      <c r="J111" s="160"/>
      <c r="K111" s="156"/>
      <c r="L111" s="102"/>
    </row>
    <row r="112" spans="1:12" s="93" customFormat="1" ht="18" hidden="1">
      <c r="A112" s="103" t="s">
        <v>25</v>
      </c>
      <c r="B112" s="104"/>
      <c r="C112" s="166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J112" s="159"/>
      <c r="K112" s="156"/>
      <c r="L112" s="102"/>
    </row>
    <row r="113" spans="1:12" s="93" customFormat="1" ht="18">
      <c r="A113" s="108" t="s">
        <v>89</v>
      </c>
      <c r="B113" s="109">
        <v>5</v>
      </c>
      <c r="C113" s="167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5</v>
      </c>
      <c r="I113" s="101">
        <f t="shared" si="16"/>
        <v>64.3</v>
      </c>
      <c r="J113" s="159"/>
      <c r="K113" s="156"/>
      <c r="L113" s="102"/>
    </row>
    <row r="114" spans="1:12" s="93" customFormat="1" ht="36.75">
      <c r="A114" s="108" t="s">
        <v>38</v>
      </c>
      <c r="B114" s="109">
        <v>549</v>
      </c>
      <c r="C114" s="167">
        <v>3311.5</v>
      </c>
      <c r="D114" s="99">
        <f>136.4+10+40+6.6+6.1+0.2</f>
        <v>199.29999999999998</v>
      </c>
      <c r="E114" s="100">
        <f>D114/D107*100</f>
        <v>1.240708691808708</v>
      </c>
      <c r="F114" s="100">
        <f t="shared" si="17"/>
        <v>36.3023679417122</v>
      </c>
      <c r="G114" s="100">
        <f t="shared" si="14"/>
        <v>6.018420655292163</v>
      </c>
      <c r="H114" s="101">
        <f t="shared" si="18"/>
        <v>349.70000000000005</v>
      </c>
      <c r="I114" s="101">
        <f t="shared" si="16"/>
        <v>3112.2</v>
      </c>
      <c r="J114" s="159"/>
      <c r="K114" s="156"/>
      <c r="L114" s="102"/>
    </row>
    <row r="115" spans="1:12" s="93" customFormat="1" ht="18" hidden="1">
      <c r="A115" s="113" t="s">
        <v>43</v>
      </c>
      <c r="B115" s="104"/>
      <c r="C115" s="166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J115" s="159"/>
      <c r="K115" s="156"/>
      <c r="L115" s="102"/>
    </row>
    <row r="116" spans="1:12" s="94" customFormat="1" ht="18.75" customHeight="1" hidden="1">
      <c r="A116" s="108" t="s">
        <v>90</v>
      </c>
      <c r="B116" s="109"/>
      <c r="C116" s="168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J116" s="160"/>
      <c r="K116" s="156"/>
      <c r="L116" s="102"/>
    </row>
    <row r="117" spans="1:12" s="93" customFormat="1" ht="36.75">
      <c r="A117" s="108" t="s">
        <v>47</v>
      </c>
      <c r="B117" s="109">
        <v>85</v>
      </c>
      <c r="C117" s="167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85</v>
      </c>
      <c r="I117" s="101">
        <f t="shared" si="16"/>
        <v>200</v>
      </c>
      <c r="J117" s="159"/>
      <c r="K117" s="156"/>
      <c r="L117" s="102"/>
    </row>
    <row r="118" spans="1:12" s="115" customFormat="1" ht="18">
      <c r="A118" s="108" t="s">
        <v>15</v>
      </c>
      <c r="B118" s="109">
        <v>103.3</v>
      </c>
      <c r="C118" s="168">
        <v>491.6</v>
      </c>
      <c r="D118" s="99">
        <v>45.4</v>
      </c>
      <c r="E118" s="100">
        <f>D118/D107*100</f>
        <v>0.2826300783146781</v>
      </c>
      <c r="F118" s="100">
        <f t="shared" si="17"/>
        <v>43.94966118102614</v>
      </c>
      <c r="G118" s="100">
        <f t="shared" si="14"/>
        <v>9.235150528885272</v>
      </c>
      <c r="H118" s="101">
        <f t="shared" si="18"/>
        <v>57.9</v>
      </c>
      <c r="I118" s="101">
        <f t="shared" si="16"/>
        <v>446.20000000000005</v>
      </c>
      <c r="J118" s="158"/>
      <c r="K118" s="156"/>
      <c r="L118" s="102"/>
    </row>
    <row r="119" spans="1:12" s="116" customFormat="1" ht="18">
      <c r="A119" s="113" t="s">
        <v>43</v>
      </c>
      <c r="B119" s="104">
        <v>90.8</v>
      </c>
      <c r="C119" s="166">
        <v>408.8</v>
      </c>
      <c r="D119" s="106">
        <v>45.4</v>
      </c>
      <c r="E119" s="107">
        <f>D119/D118*100</f>
        <v>100</v>
      </c>
      <c r="F119" s="107">
        <f t="shared" si="17"/>
        <v>50</v>
      </c>
      <c r="G119" s="107">
        <f t="shared" si="14"/>
        <v>11.105675146771036</v>
      </c>
      <c r="H119" s="105">
        <f t="shared" si="18"/>
        <v>45.4</v>
      </c>
      <c r="I119" s="105">
        <f t="shared" si="16"/>
        <v>363.40000000000003</v>
      </c>
      <c r="J119" s="169"/>
      <c r="K119" s="156"/>
      <c r="L119" s="102"/>
    </row>
    <row r="120" spans="1:12" s="115" customFormat="1" ht="18">
      <c r="A120" s="108" t="s">
        <v>105</v>
      </c>
      <c r="B120" s="109">
        <v>0</v>
      </c>
      <c r="C120" s="168">
        <v>317</v>
      </c>
      <c r="D120" s="99"/>
      <c r="E120" s="100">
        <f>D120/D107*100</f>
        <v>0</v>
      </c>
      <c r="F120" s="100" t="e">
        <f t="shared" si="17"/>
        <v>#DIV/0!</v>
      </c>
      <c r="G120" s="100">
        <f t="shared" si="14"/>
        <v>0</v>
      </c>
      <c r="H120" s="101">
        <f t="shared" si="18"/>
        <v>0</v>
      </c>
      <c r="I120" s="101">
        <f t="shared" si="16"/>
        <v>317</v>
      </c>
      <c r="J120" s="158"/>
      <c r="K120" s="156"/>
      <c r="L120" s="102"/>
    </row>
    <row r="121" spans="1:12" s="115" customFormat="1" ht="21.75" customHeight="1">
      <c r="A121" s="108" t="s">
        <v>94</v>
      </c>
      <c r="B121" s="109">
        <v>18</v>
      </c>
      <c r="C121" s="168">
        <f>480+80</f>
        <v>560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18</v>
      </c>
      <c r="I121" s="101">
        <f t="shared" si="16"/>
        <v>560</v>
      </c>
      <c r="J121" s="158"/>
      <c r="K121" s="156"/>
      <c r="L121" s="102"/>
    </row>
    <row r="122" spans="1:12" s="118" customFormat="1" ht="18" hidden="1">
      <c r="A122" s="103" t="s">
        <v>80</v>
      </c>
      <c r="B122" s="104"/>
      <c r="C122" s="166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J122" s="170"/>
      <c r="K122" s="156"/>
      <c r="L122" s="102"/>
    </row>
    <row r="123" spans="1:12" s="118" customFormat="1" ht="18" hidden="1">
      <c r="A123" s="103" t="s">
        <v>49</v>
      </c>
      <c r="B123" s="104"/>
      <c r="C123" s="166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J123" s="170"/>
      <c r="K123" s="156"/>
      <c r="L123" s="102"/>
    </row>
    <row r="124" spans="1:12" s="115" customFormat="1" ht="36.75">
      <c r="A124" s="108" t="s">
        <v>95</v>
      </c>
      <c r="B124" s="109">
        <v>7059.2</v>
      </c>
      <c r="C124" s="168">
        <v>45511.3</v>
      </c>
      <c r="D124" s="111">
        <f>3529.6+2264.3+1265.3</f>
        <v>7059.2</v>
      </c>
      <c r="E124" s="114">
        <f>D124/D107*100</f>
        <v>43.94586451187171</v>
      </c>
      <c r="F124" s="100">
        <f t="shared" si="17"/>
        <v>100</v>
      </c>
      <c r="G124" s="100">
        <f t="shared" si="14"/>
        <v>15.5108731238176</v>
      </c>
      <c r="H124" s="101">
        <f t="shared" si="18"/>
        <v>0</v>
      </c>
      <c r="I124" s="101">
        <f t="shared" si="16"/>
        <v>38452.100000000006</v>
      </c>
      <c r="J124" s="158"/>
      <c r="K124" s="156"/>
      <c r="L124" s="102"/>
    </row>
    <row r="125" spans="1:12" s="115" customFormat="1" ht="18">
      <c r="A125" s="108" t="s">
        <v>91</v>
      </c>
      <c r="B125" s="109">
        <v>64.4</v>
      </c>
      <c r="C125" s="168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64.4</v>
      </c>
      <c r="I125" s="101">
        <f t="shared" si="16"/>
        <v>700</v>
      </c>
      <c r="J125" s="158"/>
      <c r="K125" s="156"/>
      <c r="L125" s="102"/>
    </row>
    <row r="126" spans="1:12" s="115" customFormat="1" ht="36.75">
      <c r="A126" s="108" t="s">
        <v>100</v>
      </c>
      <c r="B126" s="109">
        <v>19</v>
      </c>
      <c r="C126" s="168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19</v>
      </c>
      <c r="I126" s="101">
        <f t="shared" si="16"/>
        <v>200</v>
      </c>
      <c r="J126" s="158"/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J127" s="158"/>
      <c r="K127" s="156"/>
      <c r="L127" s="102"/>
    </row>
    <row r="128" spans="1:12" s="115" customFormat="1" ht="36.75">
      <c r="A128" s="108" t="s">
        <v>57</v>
      </c>
      <c r="B128" s="109">
        <v>56.6</v>
      </c>
      <c r="C128" s="110">
        <v>942</v>
      </c>
      <c r="D128" s="111">
        <f>7+4.2+0.1+12.3+0.2</f>
        <v>23.8</v>
      </c>
      <c r="E128" s="114">
        <f>D128/D107*100</f>
        <v>0.1481629044909546</v>
      </c>
      <c r="F128" s="100">
        <f t="shared" si="17"/>
        <v>42.04946996466431</v>
      </c>
      <c r="G128" s="100">
        <f t="shared" si="14"/>
        <v>2.526539278131635</v>
      </c>
      <c r="H128" s="101">
        <f t="shared" si="18"/>
        <v>32.8</v>
      </c>
      <c r="I128" s="101">
        <f t="shared" si="16"/>
        <v>918.2</v>
      </c>
      <c r="J128" s="158"/>
      <c r="K128" s="156"/>
      <c r="L128" s="102"/>
    </row>
    <row r="129" spans="1:12" s="116" customFormat="1" ht="18">
      <c r="A129" s="103" t="s">
        <v>88</v>
      </c>
      <c r="B129" s="104">
        <v>21.2</v>
      </c>
      <c r="C129" s="105">
        <v>510.8</v>
      </c>
      <c r="D129" s="106">
        <v>7</v>
      </c>
      <c r="E129" s="107">
        <f>D129/D128*100</f>
        <v>29.411764705882355</v>
      </c>
      <c r="F129" s="107">
        <f>D129/B129*100</f>
        <v>33.01886792452831</v>
      </c>
      <c r="G129" s="107">
        <f t="shared" si="14"/>
        <v>1.3703993735317148</v>
      </c>
      <c r="H129" s="105">
        <f t="shared" si="18"/>
        <v>14.2</v>
      </c>
      <c r="I129" s="105">
        <f t="shared" si="16"/>
        <v>503.8</v>
      </c>
      <c r="J129" s="169"/>
      <c r="K129" s="156"/>
      <c r="L129" s="102"/>
    </row>
    <row r="130" spans="1:12" s="115" customFormat="1" ht="36.75">
      <c r="A130" s="108" t="s">
        <v>103</v>
      </c>
      <c r="B130" s="109">
        <v>10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10</v>
      </c>
      <c r="I130" s="101">
        <f t="shared" si="16"/>
        <v>485</v>
      </c>
      <c r="J130" s="158"/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J131" s="169"/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J132" s="158"/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J133" s="158"/>
      <c r="K133" s="156"/>
      <c r="L133" s="102"/>
    </row>
    <row r="134" spans="1:12" s="115" customFormat="1" ht="35.25" customHeight="1">
      <c r="A134" s="108" t="s">
        <v>87</v>
      </c>
      <c r="B134" s="109">
        <v>35</v>
      </c>
      <c r="C134" s="110">
        <v>383.2</v>
      </c>
      <c r="D134" s="111"/>
      <c r="E134" s="114">
        <f>D134/D107*100</f>
        <v>0</v>
      </c>
      <c r="F134" s="100">
        <f t="shared" si="17"/>
        <v>0</v>
      </c>
      <c r="G134" s="100">
        <f t="shared" si="14"/>
        <v>0</v>
      </c>
      <c r="H134" s="101">
        <f t="shared" si="18"/>
        <v>35</v>
      </c>
      <c r="I134" s="101">
        <f t="shared" si="16"/>
        <v>383.2</v>
      </c>
      <c r="J134" s="158"/>
      <c r="K134" s="181"/>
      <c r="L134" s="182"/>
    </row>
    <row r="135" spans="1:12" s="115" customFormat="1" ht="39" customHeight="1">
      <c r="A135" s="108" t="s">
        <v>54</v>
      </c>
      <c r="B135" s="109">
        <v>0</v>
      </c>
      <c r="C135" s="110">
        <v>350</v>
      </c>
      <c r="D135" s="111"/>
      <c r="E135" s="114">
        <f>D135/D107*100</f>
        <v>0</v>
      </c>
      <c r="F135" s="100" t="e">
        <f t="shared" si="17"/>
        <v>#DIV/0!</v>
      </c>
      <c r="G135" s="100">
        <f t="shared" si="14"/>
        <v>0</v>
      </c>
      <c r="H135" s="101">
        <f t="shared" si="18"/>
        <v>0</v>
      </c>
      <c r="I135" s="101">
        <f t="shared" si="16"/>
        <v>350</v>
      </c>
      <c r="J135" s="158"/>
      <c r="K135" s="181"/>
      <c r="L135" s="182"/>
    </row>
    <row r="136" spans="1:12" s="116" customFormat="1" ht="18">
      <c r="A136" s="103" t="s">
        <v>88</v>
      </c>
      <c r="B136" s="104">
        <v>0</v>
      </c>
      <c r="C136" s="105">
        <v>110</v>
      </c>
      <c r="D136" s="106"/>
      <c r="E136" s="107"/>
      <c r="F136" s="100" t="e">
        <f>D136/B136*100</f>
        <v>#DIV/0!</v>
      </c>
      <c r="G136" s="107">
        <f>D136/C136*100</f>
        <v>0</v>
      </c>
      <c r="H136" s="105">
        <f>B136-D136</f>
        <v>0</v>
      </c>
      <c r="I136" s="105">
        <f>C136-D136</f>
        <v>110</v>
      </c>
      <c r="J136" s="169"/>
      <c r="K136" s="181"/>
      <c r="L136" s="182"/>
    </row>
    <row r="137" spans="1:12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J137" s="158"/>
      <c r="K137" s="181"/>
      <c r="L137" s="182"/>
    </row>
    <row r="138" spans="1:12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J138" s="169"/>
      <c r="K138" s="181"/>
      <c r="L138" s="182"/>
    </row>
    <row r="139" spans="1:12" s="115" customFormat="1" ht="18">
      <c r="A139" s="108" t="s">
        <v>96</v>
      </c>
      <c r="B139" s="109">
        <v>277</v>
      </c>
      <c r="C139" s="110">
        <v>1760</v>
      </c>
      <c r="D139" s="111">
        <f>107.3+0.4+30.4</f>
        <v>138.1</v>
      </c>
      <c r="E139" s="114">
        <f>D139/D107*100</f>
        <v>0.8597183659748249</v>
      </c>
      <c r="F139" s="100">
        <f t="shared" si="17"/>
        <v>49.855595667870034</v>
      </c>
      <c r="G139" s="100">
        <f t="shared" si="14"/>
        <v>7.846590909090908</v>
      </c>
      <c r="H139" s="101">
        <f t="shared" si="18"/>
        <v>138.9</v>
      </c>
      <c r="I139" s="101">
        <f t="shared" si="16"/>
        <v>1621.9</v>
      </c>
      <c r="J139" s="158"/>
      <c r="K139" s="181"/>
      <c r="L139" s="182"/>
    </row>
    <row r="140" spans="1:12" s="116" customFormat="1" ht="18">
      <c r="A140" s="113" t="s">
        <v>43</v>
      </c>
      <c r="B140" s="104">
        <f>115.1+116.5</f>
        <v>231.6</v>
      </c>
      <c r="C140" s="105">
        <v>1437.4</v>
      </c>
      <c r="D140" s="106">
        <f>107.3+25.4</f>
        <v>132.7</v>
      </c>
      <c r="E140" s="107">
        <f>D140/D139*100</f>
        <v>96.08979000724112</v>
      </c>
      <c r="F140" s="107">
        <f aca="true" t="shared" si="19" ref="F140:F149">D140/B140*100</f>
        <v>57.29706390328152</v>
      </c>
      <c r="G140" s="107">
        <f t="shared" si="14"/>
        <v>9.231946570196186</v>
      </c>
      <c r="H140" s="105">
        <f t="shared" si="18"/>
        <v>98.9</v>
      </c>
      <c r="I140" s="105">
        <f t="shared" si="16"/>
        <v>1304.7</v>
      </c>
      <c r="J140" s="169"/>
      <c r="K140" s="181"/>
      <c r="L140" s="182"/>
    </row>
    <row r="141" spans="1:13" s="116" customFormat="1" ht="18">
      <c r="A141" s="103" t="s">
        <v>25</v>
      </c>
      <c r="B141" s="104">
        <f>8+7.4</f>
        <v>15.4</v>
      </c>
      <c r="C141" s="105">
        <v>40</v>
      </c>
      <c r="D141" s="106">
        <f>0.4+4.9</f>
        <v>5.300000000000001</v>
      </c>
      <c r="E141" s="107">
        <f>D141/D139*100</f>
        <v>3.83779869659667</v>
      </c>
      <c r="F141" s="107">
        <f t="shared" si="19"/>
        <v>34.41558441558442</v>
      </c>
      <c r="G141" s="107">
        <f>D141/C141*100</f>
        <v>13.25</v>
      </c>
      <c r="H141" s="105">
        <f t="shared" si="18"/>
        <v>10.1</v>
      </c>
      <c r="I141" s="105">
        <f t="shared" si="16"/>
        <v>34.7</v>
      </c>
      <c r="J141" s="169"/>
      <c r="K141" s="181"/>
      <c r="L141" s="182"/>
      <c r="M141" s="157"/>
    </row>
    <row r="142" spans="1:12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J142" s="158"/>
      <c r="K142" s="181"/>
      <c r="L142" s="182"/>
    </row>
    <row r="143" spans="1:12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J143" s="158"/>
      <c r="K143" s="181"/>
      <c r="L143" s="182"/>
    </row>
    <row r="144" spans="1:12" s="115" customFormat="1" ht="18">
      <c r="A144" s="119" t="s">
        <v>97</v>
      </c>
      <c r="B144" s="109">
        <v>7182.8</v>
      </c>
      <c r="C144" s="110">
        <v>56447.1</v>
      </c>
      <c r="D144" s="111">
        <f>254.7+197.5+629.8+725.8+539.8</f>
        <v>2347.6</v>
      </c>
      <c r="E144" s="114">
        <f>D144/D107*100</f>
        <v>14.614589688359874</v>
      </c>
      <c r="F144" s="100">
        <f t="shared" si="19"/>
        <v>32.68363312357298</v>
      </c>
      <c r="G144" s="100">
        <f t="shared" si="14"/>
        <v>4.158938191687438</v>
      </c>
      <c r="H144" s="101">
        <f t="shared" si="18"/>
        <v>4835.200000000001</v>
      </c>
      <c r="I144" s="101">
        <f t="shared" si="16"/>
        <v>54099.5</v>
      </c>
      <c r="J144" s="158"/>
      <c r="K144" s="181"/>
      <c r="L144" s="182"/>
    </row>
    <row r="145" spans="1:12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58"/>
      <c r="K145" s="181"/>
      <c r="L145" s="182"/>
    </row>
    <row r="146" spans="1:12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J146" s="158"/>
      <c r="K146" s="181"/>
      <c r="L146" s="182"/>
    </row>
    <row r="147" spans="1:12" s="115" customFormat="1" ht="18">
      <c r="A147" s="108" t="s">
        <v>98</v>
      </c>
      <c r="B147" s="109">
        <v>0</v>
      </c>
      <c r="C147" s="110">
        <v>162.3</v>
      </c>
      <c r="D147" s="111"/>
      <c r="E147" s="114">
        <f>D147/D107*100</f>
        <v>0</v>
      </c>
      <c r="F147" s="100" t="e">
        <f t="shared" si="19"/>
        <v>#DIV/0!</v>
      </c>
      <c r="G147" s="100">
        <f t="shared" si="14"/>
        <v>0</v>
      </c>
      <c r="H147" s="101">
        <f t="shared" si="18"/>
        <v>0</v>
      </c>
      <c r="I147" s="101">
        <f t="shared" si="16"/>
        <v>162.3</v>
      </c>
      <c r="J147" s="158"/>
      <c r="K147" s="181"/>
      <c r="L147" s="182"/>
    </row>
    <row r="148" spans="1:12" s="115" customFormat="1" ht="18.75" customHeight="1">
      <c r="A148" s="108" t="s">
        <v>77</v>
      </c>
      <c r="B148" s="109">
        <v>900</v>
      </c>
      <c r="C148" s="110">
        <v>10563.8</v>
      </c>
      <c r="D148" s="111"/>
      <c r="E148" s="114">
        <f>D148/D107*100</f>
        <v>0</v>
      </c>
      <c r="F148" s="100">
        <f t="shared" si="19"/>
        <v>0</v>
      </c>
      <c r="G148" s="100">
        <f t="shared" si="14"/>
        <v>0</v>
      </c>
      <c r="H148" s="101">
        <f t="shared" si="18"/>
        <v>900</v>
      </c>
      <c r="I148" s="101">
        <f t="shared" si="16"/>
        <v>10563.8</v>
      </c>
      <c r="J148" s="158"/>
      <c r="K148" s="181"/>
      <c r="L148" s="182"/>
    </row>
    <row r="149" spans="1:12" s="115" customFormat="1" ht="19.5" customHeight="1">
      <c r="A149" s="149" t="s">
        <v>50</v>
      </c>
      <c r="B149" s="150">
        <v>0</v>
      </c>
      <c r="C149" s="151">
        <v>321056.7</v>
      </c>
      <c r="D149" s="152"/>
      <c r="E149" s="153">
        <f>D149/D107*100</f>
        <v>0</v>
      </c>
      <c r="F149" s="154" t="e">
        <f t="shared" si="19"/>
        <v>#DIV/0!</v>
      </c>
      <c r="G149" s="154">
        <f t="shared" si="14"/>
        <v>0</v>
      </c>
      <c r="H149" s="155">
        <f t="shared" si="18"/>
        <v>0</v>
      </c>
      <c r="I149" s="155">
        <f>C149-D149</f>
        <v>321056.7</v>
      </c>
      <c r="J149" s="158"/>
      <c r="K149" s="181"/>
      <c r="L149" s="182"/>
    </row>
    <row r="150" spans="1:12" s="115" customFormat="1" ht="18">
      <c r="A150" s="108" t="s">
        <v>99</v>
      </c>
      <c r="B150" s="109">
        <f>2457.1+1062.3+3519.4</f>
        <v>7038.799999999999</v>
      </c>
      <c r="C150" s="110">
        <v>42232</v>
      </c>
      <c r="D150" s="111">
        <f>819+819+819.1+1062.3+1173.1+1173.1</f>
        <v>5865.6</v>
      </c>
      <c r="E150" s="114">
        <f>D150/D107*100</f>
        <v>36.5153080916867</v>
      </c>
      <c r="F150" s="100">
        <f t="shared" si="17"/>
        <v>83.33238620219356</v>
      </c>
      <c r="G150" s="100">
        <f t="shared" si="14"/>
        <v>13.888994127675696</v>
      </c>
      <c r="H150" s="101">
        <f t="shared" si="18"/>
        <v>1173.199999999999</v>
      </c>
      <c r="I150" s="101">
        <f t="shared" si="16"/>
        <v>36366.4</v>
      </c>
      <c r="J150" s="158"/>
      <c r="K150" s="181"/>
      <c r="L150" s="182"/>
    </row>
    <row r="151" spans="1:12" s="2" customFormat="1" ht="18.75" thickBot="1">
      <c r="A151" s="29" t="s">
        <v>29</v>
      </c>
      <c r="B151" s="63"/>
      <c r="C151" s="63"/>
      <c r="D151" s="44">
        <f>D43+D69+D72+D77+D79+D87+D102+D107+D100+D84+D98</f>
        <v>16658.499999999996</v>
      </c>
      <c r="E151" s="15"/>
      <c r="F151" s="15"/>
      <c r="G151" s="6"/>
      <c r="H151" s="52"/>
      <c r="I151" s="44"/>
      <c r="K151" s="181"/>
      <c r="L151" s="183"/>
    </row>
    <row r="152" spans="1:12" ht="18.75" thickBot="1">
      <c r="A152" s="12" t="s">
        <v>18</v>
      </c>
      <c r="B152" s="40">
        <f>B6+B18+B33+B43+B51+B59+B69+B72+B77+B79+B87+B90+B95+B102+B107+B100+B84+B98+B45</f>
        <v>283920.6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163756.2</v>
      </c>
      <c r="E152" s="28">
        <v>100</v>
      </c>
      <c r="F152" s="3">
        <f>D152/B152*100</f>
        <v>57.676758924854354</v>
      </c>
      <c r="G152" s="3">
        <f aca="true" t="shared" si="20" ref="G152:G158">D152/C152*100</f>
        <v>7.786087589432015</v>
      </c>
      <c r="H152" s="40">
        <f aca="true" t="shared" si="21" ref="H152:H158">B152-D152</f>
        <v>120164.39999999997</v>
      </c>
      <c r="I152" s="40">
        <f aca="true" t="shared" si="22" ref="I152:I158">C152-D152</f>
        <v>1939433.5999999999</v>
      </c>
      <c r="K152" s="184"/>
      <c r="L152" s="185"/>
    </row>
    <row r="153" spans="1:12" ht="18">
      <c r="A153" s="16" t="s">
        <v>5</v>
      </c>
      <c r="B153" s="51">
        <f>B8+B20+B34+B52+B60+B91+B115+B119+B46+B140+B131+B103</f>
        <v>138973.4</v>
      </c>
      <c r="C153" s="51">
        <f>C8+C20+C34+C52+C60+C91+C115+C119+C46+C140+C131+C103</f>
        <v>889812.0000000001</v>
      </c>
      <c r="D153" s="51">
        <f>D8+D20+D34+D52+D60+D91+D115+D119+D46+D140+D131+D103</f>
        <v>91777.20999999999</v>
      </c>
      <c r="E153" s="6">
        <f>D153/D152*100</f>
        <v>56.04502913477474</v>
      </c>
      <c r="F153" s="6">
        <f aca="true" t="shared" si="23" ref="F153:F158">D153/B153*100</f>
        <v>66.03940754129927</v>
      </c>
      <c r="G153" s="6">
        <f t="shared" si="20"/>
        <v>10.314224802542556</v>
      </c>
      <c r="H153" s="52">
        <f t="shared" si="21"/>
        <v>47196.19</v>
      </c>
      <c r="I153" s="62">
        <f t="shared" si="22"/>
        <v>798034.7900000002</v>
      </c>
      <c r="K153" s="181"/>
      <c r="L153" s="185"/>
    </row>
    <row r="154" spans="1:12" ht="18">
      <c r="A154" s="16" t="s">
        <v>0</v>
      </c>
      <c r="B154" s="52">
        <f>B11+B23+B36+B55+B62+B92+B49+B141+B109+B112+B96+B138</f>
        <v>28890.800000000003</v>
      </c>
      <c r="C154" s="52">
        <f>C11+C23+C36+C55+C62+C92+C49+C141+C109+C112+C96+C138</f>
        <v>110074.39999999998</v>
      </c>
      <c r="D154" s="52">
        <f>D11+D23+D36+D55+D62+D92+D49+D141+D109+D112+D96+D138</f>
        <v>4882.4</v>
      </c>
      <c r="E154" s="6">
        <f>D154/D152*100</f>
        <v>2.981505433076732</v>
      </c>
      <c r="F154" s="6">
        <f t="shared" si="23"/>
        <v>16.899497417863124</v>
      </c>
      <c r="G154" s="6">
        <f t="shared" si="20"/>
        <v>4.435545412920716</v>
      </c>
      <c r="H154" s="52">
        <f t="shared" si="21"/>
        <v>24008.4</v>
      </c>
      <c r="I154" s="62">
        <f t="shared" si="22"/>
        <v>105191.99999999999</v>
      </c>
      <c r="K154" s="156"/>
      <c r="L154" s="69"/>
    </row>
    <row r="155" spans="1:12" ht="18">
      <c r="A155" s="16" t="s">
        <v>1</v>
      </c>
      <c r="B155" s="51">
        <f>B22+B10+B54+B48+B61+B35+B123</f>
        <v>9052.1</v>
      </c>
      <c r="C155" s="51">
        <f>C22+C10+C54+C48+C61+C35+C123</f>
        <v>54269.5</v>
      </c>
      <c r="D155" s="51">
        <f>D22+D10+D54+D48+D61+D35+D123</f>
        <v>2669.1</v>
      </c>
      <c r="E155" s="6">
        <f>D155/D152*100</f>
        <v>1.6299230197085666</v>
      </c>
      <c r="F155" s="6">
        <f t="shared" si="23"/>
        <v>29.48597562996432</v>
      </c>
      <c r="G155" s="6">
        <f t="shared" si="20"/>
        <v>4.918232156183492</v>
      </c>
      <c r="H155" s="52">
        <f t="shared" si="21"/>
        <v>6383</v>
      </c>
      <c r="I155" s="62">
        <f t="shared" si="22"/>
        <v>51600.4</v>
      </c>
      <c r="K155" s="156"/>
      <c r="L155" s="33"/>
    </row>
    <row r="156" spans="1:12" ht="21" customHeight="1">
      <c r="A156" s="16" t="s">
        <v>14</v>
      </c>
      <c r="B156" s="51">
        <f>B12+B24+B104+B63+B38+B93+B129+B56+B136</f>
        <v>3922.5999999999995</v>
      </c>
      <c r="C156" s="51">
        <f>C12+C24+C104+C63+C38+C93+C129+C56+C136</f>
        <v>40455.4</v>
      </c>
      <c r="D156" s="51">
        <f>D12+D24+D104+D63+D38+D93+D129+D56+D136</f>
        <v>2399.3999999999996</v>
      </c>
      <c r="E156" s="6">
        <f>D156/D152*100</f>
        <v>1.4652269654523</v>
      </c>
      <c r="F156" s="6">
        <f t="shared" si="23"/>
        <v>61.168612654871765</v>
      </c>
      <c r="G156" s="6">
        <f t="shared" si="20"/>
        <v>5.930975840060905</v>
      </c>
      <c r="H156" s="52">
        <f>B156-D156</f>
        <v>1523.1999999999998</v>
      </c>
      <c r="I156" s="62">
        <f t="shared" si="22"/>
        <v>38056</v>
      </c>
      <c r="K156" s="156"/>
      <c r="L156" s="69"/>
    </row>
    <row r="157" spans="1:12" ht="18">
      <c r="A157" s="16" t="s">
        <v>2</v>
      </c>
      <c r="B157" s="51">
        <f>B9+B21+B47+B53+B122</f>
        <v>0</v>
      </c>
      <c r="C157" s="51">
        <f>C9+C21+C47+C53+C122</f>
        <v>13.9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>
        <f t="shared" si="20"/>
        <v>0</v>
      </c>
      <c r="H157" s="52">
        <f t="shared" si="21"/>
        <v>0</v>
      </c>
      <c r="I157" s="62">
        <f t="shared" si="22"/>
        <v>13.9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103081.69999999997</v>
      </c>
      <c r="C158" s="64">
        <f>C152-C153-C154-C155-C156-C157</f>
        <v>1008564.5999999999</v>
      </c>
      <c r="D158" s="64">
        <f>D152-D153-D154-D155-D156-D157</f>
        <v>62028.090000000026</v>
      </c>
      <c r="E158" s="31">
        <f>D158/D152*100</f>
        <v>37.87831544698767</v>
      </c>
      <c r="F158" s="31">
        <f t="shared" si="23"/>
        <v>60.17371657626916</v>
      </c>
      <c r="G158" s="31">
        <f t="shared" si="20"/>
        <v>6.150135549076384</v>
      </c>
      <c r="H158" s="89">
        <f t="shared" si="21"/>
        <v>41053.60999999994</v>
      </c>
      <c r="I158" s="89">
        <f t="shared" si="22"/>
        <v>946536.5099999998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3"/>
      <c r="C164" s="164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163756.2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163756.2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2018-02-09T11:15:16Z</cp:lastPrinted>
  <dcterms:created xsi:type="dcterms:W3CDTF">2000-06-20T04:48:00Z</dcterms:created>
  <dcterms:modified xsi:type="dcterms:W3CDTF">2018-02-23T06:03:42Z</dcterms:modified>
  <cp:category/>
  <cp:version/>
  <cp:contentType/>
  <cp:contentStatus/>
</cp:coreProperties>
</file>